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igi\oktatas\Műgazd\jegyzet\Brigi_exceljei\"/>
    </mc:Choice>
  </mc:AlternateContent>
  <bookViews>
    <workbookView xWindow="0" yWindow="0" windowWidth="20490" windowHeight="7650" activeTab="2"/>
  </bookViews>
  <sheets>
    <sheet name="1. feladat" sheetId="1" r:id="rId1"/>
    <sheet name="2. feladat" sheetId="2" r:id="rId2"/>
    <sheet name="3. feladat" sheetId="5" r:id="rId3"/>
    <sheet name="4. feladat" sheetId="3" r:id="rId4"/>
  </sheets>
  <calcPr calcId="162913"/>
</workbook>
</file>

<file path=xl/calcChain.xml><?xml version="1.0" encoding="utf-8"?>
<calcChain xmlns="http://schemas.openxmlformats.org/spreadsheetml/2006/main">
  <c r="I21" i="5" l="1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20" i="5"/>
  <c r="H35" i="5"/>
  <c r="H36" i="5"/>
  <c r="F35" i="5"/>
  <c r="F36" i="5"/>
  <c r="J36" i="5"/>
  <c r="J35" i="5"/>
  <c r="N25" i="5"/>
  <c r="O25" i="5" s="1"/>
  <c r="P25" i="5"/>
  <c r="N26" i="5"/>
  <c r="O26" i="5" s="1"/>
  <c r="P26" i="5"/>
  <c r="N27" i="5"/>
  <c r="O27" i="5"/>
  <c r="P27" i="5"/>
  <c r="N24" i="5"/>
  <c r="O24" i="5" s="1"/>
  <c r="P24" i="5"/>
  <c r="P21" i="5"/>
  <c r="P22" i="5"/>
  <c r="P23" i="5"/>
  <c r="P20" i="5"/>
  <c r="O21" i="5"/>
  <c r="O22" i="5"/>
  <c r="O23" i="5"/>
  <c r="O20" i="5"/>
  <c r="N21" i="5"/>
  <c r="N22" i="5"/>
  <c r="N23" i="5"/>
  <c r="N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20" i="5"/>
  <c r="B37" i="5"/>
  <c r="B36" i="5"/>
  <c r="B34" i="5"/>
  <c r="B33" i="5"/>
  <c r="G34" i="2"/>
  <c r="H34" i="2"/>
  <c r="G35" i="2"/>
  <c r="H35" i="2"/>
  <c r="H25" i="2"/>
  <c r="H26" i="2"/>
  <c r="H27" i="2"/>
  <c r="H28" i="2"/>
  <c r="H29" i="2"/>
  <c r="H30" i="2"/>
  <c r="H24" i="2"/>
  <c r="G25" i="2"/>
  <c r="G26" i="2"/>
  <c r="G27" i="2"/>
  <c r="G28" i="2"/>
  <c r="G29" i="2"/>
  <c r="G30" i="2"/>
  <c r="G31" i="2"/>
  <c r="H31" i="2" s="1"/>
  <c r="G32" i="2"/>
  <c r="H32" i="2" s="1"/>
  <c r="G33" i="2"/>
  <c r="H33" i="2" s="1"/>
  <c r="G24" i="2"/>
  <c r="G18" i="2"/>
  <c r="G16" i="2"/>
  <c r="H23" i="3" l="1"/>
  <c r="H22" i="3"/>
  <c r="D18" i="3"/>
  <c r="B31" i="5"/>
  <c r="D21" i="1"/>
  <c r="D19" i="1"/>
  <c r="G21" i="2" l="1"/>
  <c r="D16" i="3" l="1"/>
  <c r="D15" i="3"/>
  <c r="D14" i="3"/>
  <c r="D13" i="3"/>
  <c r="D10" i="3"/>
  <c r="F23" i="5"/>
  <c r="F24" i="5"/>
  <c r="F25" i="5"/>
  <c r="F26" i="5"/>
  <c r="F27" i="5"/>
  <c r="F28" i="5"/>
  <c r="F29" i="5"/>
  <c r="F30" i="5"/>
  <c r="F31" i="5"/>
  <c r="F32" i="5"/>
  <c r="F33" i="5"/>
  <c r="F34" i="5"/>
  <c r="F21" i="5"/>
  <c r="F22" i="5"/>
  <c r="F20" i="5"/>
  <c r="B30" i="5"/>
  <c r="G12" i="2"/>
  <c r="G11" i="2"/>
  <c r="D17" i="1"/>
</calcChain>
</file>

<file path=xl/sharedStrings.xml><?xml version="1.0" encoding="utf-8"?>
<sst xmlns="http://schemas.openxmlformats.org/spreadsheetml/2006/main" count="69" uniqueCount="45">
  <si>
    <t>ρ</t>
  </si>
  <si>
    <t>σρ</t>
  </si>
  <si>
    <t>d</t>
  </si>
  <si>
    <t>σd</t>
  </si>
  <si>
    <t>h</t>
  </si>
  <si>
    <t>σh</t>
  </si>
  <si>
    <t>∆ρ</t>
  </si>
  <si>
    <t>∆d</t>
  </si>
  <si>
    <t>∆h</t>
  </si>
  <si>
    <t>kg/m^3</t>
  </si>
  <si>
    <t>m</t>
  </si>
  <si>
    <t>kg</t>
  </si>
  <si>
    <t>σm</t>
  </si>
  <si>
    <t>∆m</t>
  </si>
  <si>
    <t>sorszám</t>
  </si>
  <si>
    <t>átlag</t>
  </si>
  <si>
    <t>korr.tap.szórás</t>
  </si>
  <si>
    <t>n</t>
  </si>
  <si>
    <t>p</t>
  </si>
  <si>
    <t>lambda student</t>
  </si>
  <si>
    <t>a</t>
  </si>
  <si>
    <t>h = ( 2%)</t>
  </si>
  <si>
    <t>óra</t>
  </si>
  <si>
    <t>szórás</t>
  </si>
  <si>
    <t>(p+1)/2</t>
  </si>
  <si>
    <t>lambda</t>
  </si>
  <si>
    <t>mosópor töltőtömeg [kg]</t>
  </si>
  <si>
    <t>mérés eredménye:</t>
  </si>
  <si>
    <t>Eredeti gépen végzett 10 mérés:</t>
  </si>
  <si>
    <t>Sorszám</t>
  </si>
  <si>
    <t>Szakító szilárdság</t>
  </si>
  <si>
    <t>b)</t>
  </si>
  <si>
    <t>további mérések a régi géppel</t>
  </si>
  <si>
    <t>c)</t>
  </si>
  <si>
    <t>új géppel</t>
  </si>
  <si>
    <t>n-10</t>
  </si>
  <si>
    <t>ár</t>
  </si>
  <si>
    <t>a)</t>
  </si>
  <si>
    <t>intervallum</t>
  </si>
  <si>
    <t>A folyadék tömege 6,283+/-0,104 kg.</t>
  </si>
  <si>
    <t>A festék 98%-os biztonsággal 1,25+/-0,08 óra alatt szárad meg.</t>
  </si>
  <si>
    <t>A mosóporos doboz 95%-os biztonsággal 1,52+/-0,043 kg-nyi mosóport tartalmaz.</t>
  </si>
  <si>
    <t>38 mérést kell elvégezni ahhoz, hogy a relatív hibakorlát 2% alá csökkenjen.</t>
  </si>
  <si>
    <t>Az anyag szakítószilárdsága 95%-os biztonsággal 390,93 és 417,49 MPa közé esik.</t>
  </si>
  <si>
    <t>Megéri új mintavételező egységet venni.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</si>
</sst>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3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/>
    <xf numFmtId="0" fontId="0" fillId="0" borderId="0" xfId="0" applyFill="1"/>
    <xf numFmtId="0" fontId="1" fillId="0" borderId="0" xfId="0" applyFont="1" applyFill="1"/>
    <xf numFmtId="0" fontId="4" fillId="0" borderId="0" xfId="1" applyFont="1"/>
    <xf numFmtId="0" fontId="4" fillId="0" borderId="0" xfId="1"/>
    <xf numFmtId="164" fontId="0" fillId="0" borderId="0" xfId="2" applyNumberFormat="1" applyFont="1"/>
    <xf numFmtId="2" fontId="4" fillId="0" borderId="0" xfId="1" applyNumberFormat="1"/>
    <xf numFmtId="0" fontId="5" fillId="0" borderId="0" xfId="1" applyFont="1"/>
    <xf numFmtId="164" fontId="1" fillId="0" borderId="0" xfId="2" applyNumberFormat="1" applyFont="1"/>
    <xf numFmtId="2" fontId="4" fillId="0" borderId="1" xfId="1" applyNumberFormat="1" applyBorder="1"/>
    <xf numFmtId="2" fontId="4" fillId="0" borderId="2" xfId="1" applyNumberFormat="1" applyBorder="1"/>
    <xf numFmtId="0" fontId="6" fillId="0" borderId="0" xfId="0" applyFont="1"/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1</xdr:row>
      <xdr:rowOff>180976</xdr:rowOff>
    </xdr:from>
    <xdr:to>
      <xdr:col>8</xdr:col>
      <xdr:colOff>495300</xdr:colOff>
      <xdr:row>7</xdr:row>
      <xdr:rowOff>133350</xdr:rowOff>
    </xdr:to>
    <xdr:sp macro="" textlink="">
      <xdr:nvSpPr>
        <xdr:cNvPr id="2" name="Szövegdoboz 1"/>
        <xdr:cNvSpPr txBox="1"/>
      </xdr:nvSpPr>
      <xdr:spPr>
        <a:xfrm>
          <a:off x="1038225" y="371476"/>
          <a:ext cx="4648200" cy="1095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Festékek száradási idejét vizsgálták. n=150 kísérletből, az értékek </a:t>
          </a:r>
          <a:r>
            <a:rPr lang="hu-HU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átlaga 1.25 </a:t>
          </a: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óra volt. A száradási idő szórása ismert, 0.41 óra. Adja meg a mérés eredményét az átlag és a 98%-os szignifikancia szinthez tartozó konfidencia intervallum sugár alakban!</a:t>
          </a:r>
        </a:p>
        <a:p>
          <a:r>
            <a:rPr lang="hu-HU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	</a:t>
          </a:r>
          <a:endParaRPr lang="hu-HU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171451</xdr:rowOff>
    </xdr:from>
    <xdr:to>
      <xdr:col>8</xdr:col>
      <xdr:colOff>600075</xdr:colOff>
      <xdr:row>8</xdr:row>
      <xdr:rowOff>57151</xdr:rowOff>
    </xdr:to>
    <xdr:sp macro="" textlink="">
      <xdr:nvSpPr>
        <xdr:cNvPr id="2" name="Szövegdoboz 1"/>
        <xdr:cNvSpPr txBox="1"/>
      </xdr:nvSpPr>
      <xdr:spPr>
        <a:xfrm>
          <a:off x="962025" y="361951"/>
          <a:ext cx="6696075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Közvetlen méréssel mérték egy 1,5 kg-os mosópor töltőtömegét. </a:t>
          </a:r>
        </a:p>
        <a:p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 mérés eredményei a táblázatban látható számsor.</a:t>
          </a:r>
        </a:p>
        <a:p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a) Adja meg a mérés eredményét </a:t>
          </a: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az átlag és a </a:t>
          </a:r>
          <a:r>
            <a:rPr lang="hu-HU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95%</a:t>
          </a: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-os szignifikancia szinthez tartozó konfidencia intervallum sugár alakban</a:t>
          </a:r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b)</a:t>
          </a:r>
          <a:r>
            <a:rPr lang="hu-HU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Fogadjuk el, hogy az a.) pontban kiszámolt </a:t>
          </a:r>
          <a:r>
            <a:rPr lang="hu-HU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korrigált tapasztalati szórás nem változik </a:t>
          </a:r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az elemszám növelésével. Ennek alapján számolja ki, hogy hány mérést kell végeznie ahhoz, hogy a relatív hibakorlát 2% alá süllyedjen.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1</xdr:row>
      <xdr:rowOff>28575</xdr:rowOff>
    </xdr:from>
    <xdr:to>
      <xdr:col>13</xdr:col>
      <xdr:colOff>104775</xdr:colOff>
      <xdr:row>14</xdr:row>
      <xdr:rowOff>76200</xdr:rowOff>
    </xdr:to>
    <xdr:sp macro="" textlink="">
      <xdr:nvSpPr>
        <xdr:cNvPr id="2" name="Szövegdoboz 1"/>
        <xdr:cNvSpPr txBox="1"/>
      </xdr:nvSpPr>
      <xdr:spPr>
        <a:xfrm>
          <a:off x="1076326" y="190500"/>
          <a:ext cx="8143874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0">
              <a:solidFill>
                <a:sysClr val="windowText" lastClr="000000"/>
              </a:solidFill>
            </a:rPr>
            <a:t>Egy</a:t>
          </a:r>
          <a:r>
            <a:rPr lang="hu-HU" sz="1100" b="0" baseline="0">
              <a:solidFill>
                <a:sysClr val="windowText" lastClr="000000"/>
              </a:solidFill>
            </a:rPr>
            <a:t> anyag szakítószilárdságát kizárólag roncsolásos kísérlettel lehet meghatározni. Egy egy kísérlet anyag- és időigényes, összesítve egy kísérlet 2500 ft-ba kerül. A táblázatban egy anyag, a jelenlegi szakítógéppel mért  értékeit mutatja 10-szer megismételt mérésre.</a:t>
          </a:r>
        </a:p>
        <a:p>
          <a:r>
            <a:rPr lang="hu-HU" sz="1100" b="0" baseline="0">
              <a:solidFill>
                <a:sysClr val="windowText" lastClr="000000"/>
              </a:solidFill>
            </a:rPr>
            <a:t>a) Adjon </a:t>
          </a:r>
          <a:r>
            <a:rPr lang="hu-HU" sz="1200" b="0" baseline="0">
              <a:solidFill>
                <a:sysClr val="windowText" lastClr="000000"/>
              </a:solidFill>
            </a:rPr>
            <a:t>95%</a:t>
          </a:r>
          <a:r>
            <a:rPr lang="hu-HU" sz="1100" b="0" baseline="0">
              <a:solidFill>
                <a:sysClr val="windowText" lastClr="000000"/>
              </a:solidFill>
            </a:rPr>
            <a:t>-os konfidencia intervallum becslést az anyag szakítószilárdságára a 10 mérés alapján!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baseline="0">
              <a:solidFill>
                <a:sysClr val="windowText" lastClr="000000"/>
              </a:solidFill>
            </a:rPr>
            <a:t>b) </a:t>
          </a: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Fogadjuk el, hogy az a.) pontban kiszámolt korrigált tapasztalati szórás nem változik a minta elemszám növelésével. Ennek alapján számolja ki, hogy hány mérést kell még elvégeznie ahhoz, hogy a hibakorlát 4 MPa alá süllyedjen. Mekkora ezeknek</a:t>
          </a:r>
          <a:r>
            <a:rPr lang="hu-H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további méréseknek a </a:t>
          </a: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költsége?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c) A szakítógéphez kapcsolt</a:t>
          </a:r>
          <a:r>
            <a:rPr lang="hu-H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mintavételező egység cseréjével a mérési bizonytalanság szórás nagymértékben (felére) csökkenthető. Feltételezve, hogy az új mintavételező egységgel a mérések tapasztalati korrigált szórása az a) pontban kiszámolt érték fele lesz, adjon becslést arra vonatkozóan, hogy hány mérést kellene végezni az új mintavételező egységgel, hogy a hibakorlát 4 MPa alá kerüljön. Mekkora ennek a mérési sorozatnak a költsége beleszámítva, hogy az új mintavételező egység 100 000 ft-ba kerül?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u-HU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d) Mi éri meg jobban? Sok mérést végezni a régi berendezésen, vagy beruházni egy új mintavételező egységbe és azzal elvégezni a méréseket?</a:t>
          </a:r>
          <a:endParaRPr lang="hu-HU" b="0">
            <a:solidFill>
              <a:sysClr val="windowText" lastClr="000000"/>
            </a:solidFill>
            <a:effectLst/>
          </a:endParaRPr>
        </a:p>
        <a:p>
          <a:endParaRPr lang="hu-H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11</xdr:col>
      <xdr:colOff>152400</xdr:colOff>
      <xdr:row>5</xdr:row>
      <xdr:rowOff>85725</xdr:rowOff>
    </xdr:to>
    <xdr:sp macro="" textlink="">
      <xdr:nvSpPr>
        <xdr:cNvPr id="3" name="Szövegdoboz 2"/>
        <xdr:cNvSpPr txBox="1"/>
      </xdr:nvSpPr>
      <xdr:spPr>
        <a:xfrm>
          <a:off x="1219200" y="381000"/>
          <a:ext cx="5638800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Egy henger alakú mérőedénybe 1000±15 kg/m3 sűrűségű folyadékot töltünk. A henger átmérője 200±0.5 mm, a folyadékoszlop magassága 200±1 mm. Határozza meg a folyadék-tömeg hibakorlátját! (A hibakorlát a szórás kétszerese.)</a:t>
          </a:r>
        </a:p>
      </xdr:txBody>
    </xdr:sp>
    <xdr:clientData/>
  </xdr:twoCellAnchor>
  <xdr:twoCellAnchor editAs="oneCell">
    <xdr:from>
      <xdr:col>2</xdr:col>
      <xdr:colOff>0</xdr:colOff>
      <xdr:row>19</xdr:row>
      <xdr:rowOff>180975</xdr:rowOff>
    </xdr:from>
    <xdr:to>
      <xdr:col>5</xdr:col>
      <xdr:colOff>381000</xdr:colOff>
      <xdr:row>25</xdr:row>
      <xdr:rowOff>26610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00475"/>
          <a:ext cx="2209800" cy="101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K22"/>
  <sheetViews>
    <sheetView workbookViewId="0">
      <selection activeCell="H15" sqref="H15"/>
    </sheetView>
  </sheetViews>
  <sheetFormatPr defaultRowHeight="15" x14ac:dyDescent="0.25"/>
  <cols>
    <col min="6" max="6" width="19.140625" customWidth="1"/>
    <col min="7" max="7" width="12" bestFit="1" customWidth="1"/>
    <col min="8" max="8" width="11" bestFit="1" customWidth="1"/>
  </cols>
  <sheetData>
    <row r="12" spans="3:7" x14ac:dyDescent="0.25">
      <c r="C12" s="2" t="s">
        <v>17</v>
      </c>
      <c r="D12">
        <v>150</v>
      </c>
    </row>
    <row r="13" spans="3:7" x14ac:dyDescent="0.25">
      <c r="C13" s="2" t="s">
        <v>15</v>
      </c>
      <c r="D13" s="4">
        <v>1.25</v>
      </c>
      <c r="E13" s="2" t="s">
        <v>22</v>
      </c>
      <c r="G13" s="2"/>
    </row>
    <row r="14" spans="3:7" x14ac:dyDescent="0.25">
      <c r="C14" s="3" t="s">
        <v>23</v>
      </c>
      <c r="D14">
        <v>0.41</v>
      </c>
      <c r="E14" s="2" t="s">
        <v>22</v>
      </c>
      <c r="G14" s="2"/>
    </row>
    <row r="15" spans="3:7" x14ac:dyDescent="0.25">
      <c r="C15" s="2"/>
      <c r="E15" s="2"/>
      <c r="G15" s="2"/>
    </row>
    <row r="16" spans="3:7" x14ac:dyDescent="0.25">
      <c r="C16" s="3" t="s">
        <v>18</v>
      </c>
      <c r="D16">
        <v>0.98</v>
      </c>
      <c r="E16" s="2"/>
    </row>
    <row r="17" spans="3:11" x14ac:dyDescent="0.25">
      <c r="C17" s="3" t="s">
        <v>24</v>
      </c>
      <c r="D17">
        <f>(D16+1)/2</f>
        <v>0.99</v>
      </c>
    </row>
    <row r="18" spans="3:11" ht="16.5" customHeight="1" x14ac:dyDescent="0.25"/>
    <row r="19" spans="3:11" x14ac:dyDescent="0.25">
      <c r="C19" s="3" t="s">
        <v>25</v>
      </c>
      <c r="D19" s="4">
        <f>NORMSINV(D17)</f>
        <v>2.3263478740408408</v>
      </c>
    </row>
    <row r="20" spans="3:11" ht="30.75" customHeight="1" x14ac:dyDescent="0.25"/>
    <row r="21" spans="3:11" x14ac:dyDescent="0.25">
      <c r="C21" s="3" t="s">
        <v>20</v>
      </c>
      <c r="D21" s="4">
        <f>D19*D14/SQRT(D12)</f>
        <v>7.7877658493316057E-2</v>
      </c>
      <c r="F21" t="s">
        <v>27</v>
      </c>
      <c r="G21" t="s">
        <v>40</v>
      </c>
    </row>
    <row r="22" spans="3:11" x14ac:dyDescent="0.25">
      <c r="C22" s="1"/>
      <c r="F22" s="2"/>
      <c r="G22" s="2"/>
      <c r="H22" s="2"/>
      <c r="I22" s="2"/>
      <c r="J22" s="2"/>
      <c r="K22" s="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5"/>
  <sheetViews>
    <sheetView topLeftCell="C7" workbookViewId="0">
      <selection activeCell="J28" sqref="J28"/>
    </sheetView>
  </sheetViews>
  <sheetFormatPr defaultRowHeight="15" x14ac:dyDescent="0.25"/>
  <cols>
    <col min="2" max="2" width="10.42578125" customWidth="1"/>
    <col min="3" max="3" width="13.85546875" customWidth="1"/>
    <col min="5" max="5" width="17.5703125" bestFit="1" customWidth="1"/>
    <col min="6" max="6" width="21.42578125" bestFit="1" customWidth="1"/>
    <col min="7" max="7" width="15.140625" customWidth="1"/>
    <col min="9" max="9" width="19.140625" customWidth="1"/>
  </cols>
  <sheetData>
    <row r="11" spans="2:7" ht="49.5" customHeight="1" x14ac:dyDescent="0.25">
      <c r="B11" s="5" t="s">
        <v>14</v>
      </c>
      <c r="C11" s="6" t="s">
        <v>26</v>
      </c>
      <c r="F11" s="2" t="s">
        <v>15</v>
      </c>
      <c r="G11" s="4">
        <f>AVERAGE(C12:C31)</f>
        <v>1.5204999999999997</v>
      </c>
    </row>
    <row r="12" spans="2:7" x14ac:dyDescent="0.25">
      <c r="B12">
        <v>1</v>
      </c>
      <c r="C12" s="4">
        <v>1.52</v>
      </c>
      <c r="F12" s="2" t="s">
        <v>16</v>
      </c>
      <c r="G12">
        <f>_xlfn.STDEV.S(C12:C31)</f>
        <v>9.185085164204207E-2</v>
      </c>
    </row>
    <row r="13" spans="2:7" x14ac:dyDescent="0.25">
      <c r="B13">
        <v>2</v>
      </c>
      <c r="C13" s="4">
        <v>1.61</v>
      </c>
      <c r="F13" s="2" t="s">
        <v>17</v>
      </c>
      <c r="G13">
        <v>20</v>
      </c>
    </row>
    <row r="14" spans="2:7" x14ac:dyDescent="0.25">
      <c r="B14">
        <v>3</v>
      </c>
      <c r="C14" s="4">
        <v>1.46</v>
      </c>
      <c r="F14" s="2" t="s">
        <v>18</v>
      </c>
      <c r="G14">
        <v>0.95</v>
      </c>
    </row>
    <row r="15" spans="2:7" x14ac:dyDescent="0.25">
      <c r="B15">
        <v>4</v>
      </c>
      <c r="C15" s="4">
        <v>1.49</v>
      </c>
    </row>
    <row r="16" spans="2:7" x14ac:dyDescent="0.25">
      <c r="B16">
        <v>5</v>
      </c>
      <c r="C16" s="4">
        <v>1.51</v>
      </c>
      <c r="F16" s="2" t="s">
        <v>19</v>
      </c>
      <c r="G16">
        <f>_xlfn.T.INV.2T(1-G14,G13-1)</f>
        <v>2.0930240544083087</v>
      </c>
    </row>
    <row r="17" spans="2:13" x14ac:dyDescent="0.25">
      <c r="B17">
        <v>6</v>
      </c>
      <c r="C17" s="4">
        <v>1.6</v>
      </c>
    </row>
    <row r="18" spans="2:13" x14ac:dyDescent="0.25">
      <c r="B18">
        <v>7</v>
      </c>
      <c r="C18" s="4">
        <v>1.48</v>
      </c>
      <c r="F18" s="2" t="s">
        <v>20</v>
      </c>
      <c r="G18">
        <f>G16*G12/SQRT(G13)</f>
        <v>4.2987521810414417E-2</v>
      </c>
      <c r="I18" t="s">
        <v>27</v>
      </c>
      <c r="J18" t="s">
        <v>41</v>
      </c>
    </row>
    <row r="19" spans="2:13" x14ac:dyDescent="0.25">
      <c r="B19">
        <v>8</v>
      </c>
      <c r="C19" s="4">
        <v>1.42</v>
      </c>
      <c r="I19" s="2"/>
      <c r="J19" s="2"/>
      <c r="K19" s="2"/>
      <c r="L19" s="2"/>
      <c r="M19" s="2"/>
    </row>
    <row r="20" spans="2:13" x14ac:dyDescent="0.25">
      <c r="B20">
        <v>9</v>
      </c>
      <c r="C20" s="4">
        <v>1.32</v>
      </c>
    </row>
    <row r="21" spans="2:13" x14ac:dyDescent="0.25">
      <c r="B21">
        <v>10</v>
      </c>
      <c r="C21" s="4">
        <v>1.7</v>
      </c>
      <c r="F21" s="2" t="s">
        <v>21</v>
      </c>
      <c r="G21">
        <f>G11*0.02</f>
        <v>3.0409999999999996E-2</v>
      </c>
    </row>
    <row r="22" spans="2:13" x14ac:dyDescent="0.25">
      <c r="B22">
        <v>11</v>
      </c>
      <c r="C22" s="4">
        <v>1.54</v>
      </c>
      <c r="I22" t="s">
        <v>42</v>
      </c>
    </row>
    <row r="23" spans="2:13" x14ac:dyDescent="0.25">
      <c r="B23">
        <v>12</v>
      </c>
      <c r="C23" s="4">
        <v>1.43</v>
      </c>
      <c r="F23" s="2" t="s">
        <v>17</v>
      </c>
      <c r="G23" s="2" t="s">
        <v>25</v>
      </c>
      <c r="H23" s="2" t="s">
        <v>20</v>
      </c>
    </row>
    <row r="24" spans="2:13" x14ac:dyDescent="0.25">
      <c r="B24">
        <v>13</v>
      </c>
      <c r="C24" s="4">
        <v>1.56</v>
      </c>
      <c r="F24">
        <v>5</v>
      </c>
      <c r="G24">
        <f>_xlfn.T.INV.2T(1-$G$14,F24-1)</f>
        <v>2.776445105197793</v>
      </c>
      <c r="H24">
        <f>G24*$G$12/SQRT(F24)</f>
        <v>0.11404789568827871</v>
      </c>
    </row>
    <row r="25" spans="2:13" x14ac:dyDescent="0.25">
      <c r="B25">
        <v>14</v>
      </c>
      <c r="C25" s="4">
        <v>1.47</v>
      </c>
      <c r="F25">
        <v>10</v>
      </c>
      <c r="G25">
        <f t="shared" ref="G25:G35" si="0">_xlfn.T.INV.2T(1-$G$14,F25-1)</f>
        <v>2.2621571627982049</v>
      </c>
      <c r="H25">
        <f t="shared" ref="H25:H33" si="1">G25*$G$12/SQRT(F25)</f>
        <v>6.5706141041421751E-2</v>
      </c>
    </row>
    <row r="26" spans="2:13" x14ac:dyDescent="0.25">
      <c r="B26">
        <v>15</v>
      </c>
      <c r="C26" s="4">
        <v>1.68</v>
      </c>
      <c r="F26">
        <v>15</v>
      </c>
      <c r="G26">
        <f t="shared" si="0"/>
        <v>2.1447866879178035</v>
      </c>
      <c r="H26">
        <f t="shared" si="1"/>
        <v>5.086530621637602E-2</v>
      </c>
    </row>
    <row r="27" spans="2:13" x14ac:dyDescent="0.25">
      <c r="B27">
        <v>16</v>
      </c>
      <c r="C27" s="4">
        <v>1.44</v>
      </c>
      <c r="F27">
        <v>20</v>
      </c>
      <c r="G27">
        <f t="shared" si="0"/>
        <v>2.0930240544083087</v>
      </c>
      <c r="H27">
        <f t="shared" si="1"/>
        <v>4.2987521810414417E-2</v>
      </c>
    </row>
    <row r="28" spans="2:13" x14ac:dyDescent="0.25">
      <c r="B28">
        <v>17</v>
      </c>
      <c r="C28" s="4">
        <v>1.6</v>
      </c>
      <c r="F28">
        <v>25</v>
      </c>
      <c r="G28">
        <f t="shared" si="0"/>
        <v>2.0638985616280254</v>
      </c>
      <c r="H28">
        <f t="shared" si="1"/>
        <v>3.7914168117663953E-2</v>
      </c>
    </row>
    <row r="29" spans="2:13" x14ac:dyDescent="0.25">
      <c r="B29">
        <v>18</v>
      </c>
      <c r="C29" s="4">
        <v>1.59</v>
      </c>
      <c r="F29">
        <v>30</v>
      </c>
      <c r="G29">
        <f t="shared" si="0"/>
        <v>2.0452296421327034</v>
      </c>
      <c r="H29">
        <f t="shared" si="1"/>
        <v>3.4297671669596311E-2</v>
      </c>
    </row>
    <row r="30" spans="2:13" x14ac:dyDescent="0.25">
      <c r="B30">
        <v>19</v>
      </c>
      <c r="C30" s="4">
        <v>1.49</v>
      </c>
      <c r="F30">
        <v>35</v>
      </c>
      <c r="G30">
        <f t="shared" si="0"/>
        <v>2.0322445093177191</v>
      </c>
      <c r="H30">
        <f t="shared" si="1"/>
        <v>3.1551871470519237E-2</v>
      </c>
    </row>
    <row r="31" spans="2:13" x14ac:dyDescent="0.25">
      <c r="B31">
        <v>20</v>
      </c>
      <c r="C31" s="4">
        <v>1.5</v>
      </c>
      <c r="F31">
        <v>36</v>
      </c>
      <c r="G31">
        <f t="shared" si="0"/>
        <v>2.0301079282503438</v>
      </c>
      <c r="H31">
        <f t="shared" si="1"/>
        <v>3.1077857022509286E-2</v>
      </c>
      <c r="I31" s="2"/>
      <c r="J31" s="2"/>
    </row>
    <row r="32" spans="2:13" x14ac:dyDescent="0.25">
      <c r="F32">
        <v>37</v>
      </c>
      <c r="G32">
        <f t="shared" si="0"/>
        <v>2.0280940009804502</v>
      </c>
      <c r="H32">
        <f t="shared" si="1"/>
        <v>3.0624598654361412E-2</v>
      </c>
    </row>
    <row r="33" spans="6:8" x14ac:dyDescent="0.25">
      <c r="F33" s="2">
        <v>38</v>
      </c>
      <c r="G33" s="2">
        <f t="shared" si="0"/>
        <v>2.0261924630291088</v>
      </c>
      <c r="H33" s="2">
        <f t="shared" si="1"/>
        <v>3.0190623671653989E-2</v>
      </c>
    </row>
    <row r="34" spans="6:8" x14ac:dyDescent="0.25">
      <c r="F34">
        <v>39</v>
      </c>
      <c r="G34">
        <f t="shared" si="0"/>
        <v>2.0243941639119702</v>
      </c>
      <c r="H34">
        <f t="shared" ref="H34:H35" si="2">G34*$G$12/SQRT(F34)</f>
        <v>2.9774601699180885E-2</v>
      </c>
    </row>
    <row r="35" spans="6:8" x14ac:dyDescent="0.25">
      <c r="F35">
        <v>40</v>
      </c>
      <c r="G35">
        <f t="shared" si="0"/>
        <v>2.0226909200367595</v>
      </c>
      <c r="H35">
        <f t="shared" si="2"/>
        <v>2.9375327466360047E-2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P39"/>
  <sheetViews>
    <sheetView tabSelected="1" topLeftCell="E4" workbookViewId="0">
      <selection activeCell="L35" sqref="L35"/>
    </sheetView>
  </sheetViews>
  <sheetFormatPr defaultRowHeight="12.75" x14ac:dyDescent="0.2"/>
  <cols>
    <col min="1" max="1" width="13.7109375" style="11" customWidth="1"/>
    <col min="2" max="2" width="17.85546875" style="11" customWidth="1"/>
    <col min="3" max="9" width="9.140625" style="11"/>
    <col min="10" max="10" width="13.7109375" style="11" bestFit="1" customWidth="1"/>
    <col min="11" max="15" width="9.140625" style="11"/>
    <col min="16" max="16" width="13.7109375" style="11" bestFit="1" customWidth="1"/>
    <col min="17" max="16384" width="9.140625" style="11"/>
  </cols>
  <sheetData>
    <row r="16" spans="1:1" x14ac:dyDescent="0.2">
      <c r="A16" s="10" t="s">
        <v>28</v>
      </c>
    </row>
    <row r="17" spans="1:16" x14ac:dyDescent="0.2">
      <c r="A17" s="10" t="s">
        <v>29</v>
      </c>
      <c r="B17" s="10" t="s">
        <v>30</v>
      </c>
      <c r="F17" s="10" t="s">
        <v>31</v>
      </c>
      <c r="G17" s="10" t="s">
        <v>32</v>
      </c>
      <c r="L17" s="10" t="s">
        <v>33</v>
      </c>
      <c r="M17" s="10" t="s">
        <v>34</v>
      </c>
    </row>
    <row r="18" spans="1:16" x14ac:dyDescent="0.2">
      <c r="A18" s="11">
        <v>1</v>
      </c>
      <c r="B18" s="11">
        <v>409.2</v>
      </c>
    </row>
    <row r="19" spans="1:16" x14ac:dyDescent="0.2">
      <c r="A19" s="11">
        <v>2</v>
      </c>
      <c r="B19" s="11">
        <v>424.1</v>
      </c>
      <c r="F19" s="10" t="s">
        <v>17</v>
      </c>
      <c r="G19" s="10" t="s">
        <v>35</v>
      </c>
      <c r="H19" s="10" t="s">
        <v>25</v>
      </c>
      <c r="I19" s="10" t="s">
        <v>20</v>
      </c>
      <c r="J19" s="10" t="s">
        <v>36</v>
      </c>
      <c r="M19" s="10" t="s">
        <v>17</v>
      </c>
      <c r="N19" s="10" t="s">
        <v>25</v>
      </c>
      <c r="O19" s="10" t="s">
        <v>20</v>
      </c>
      <c r="P19" s="10" t="s">
        <v>36</v>
      </c>
    </row>
    <row r="20" spans="1:16" ht="15" x14ac:dyDescent="0.25">
      <c r="A20" s="11">
        <v>3</v>
      </c>
      <c r="B20" s="11">
        <v>389.5</v>
      </c>
      <c r="F20" s="11">
        <f>G20+10</f>
        <v>15</v>
      </c>
      <c r="G20" s="11">
        <v>5</v>
      </c>
      <c r="H20" s="11">
        <f>_xlfn.T.INV.2T(1-0.95,F20-1)</f>
        <v>2.1447866879178035</v>
      </c>
      <c r="I20" s="11">
        <f>H20*$B$31/SQRT(F20)</f>
        <v>10.281411650635198</v>
      </c>
      <c r="J20" s="12">
        <f>G20*2500</f>
        <v>12500</v>
      </c>
      <c r="M20" s="11">
        <v>5</v>
      </c>
      <c r="N20" s="11">
        <f>_xlfn.T.INV.2T(1-0.95,M20-1)</f>
        <v>2.776445105197793</v>
      </c>
      <c r="O20" s="11">
        <f>N20*($B$31/2)/SQRT(M20)</f>
        <v>11.526258767340202</v>
      </c>
      <c r="P20" s="12">
        <f>M20*2500+100000</f>
        <v>112500</v>
      </c>
    </row>
    <row r="21" spans="1:16" ht="15" x14ac:dyDescent="0.25">
      <c r="A21" s="11">
        <v>4</v>
      </c>
      <c r="B21" s="11">
        <v>378.9</v>
      </c>
      <c r="F21" s="11">
        <f t="shared" ref="F21:F36" si="0">G21+10</f>
        <v>20</v>
      </c>
      <c r="G21" s="11">
        <v>10</v>
      </c>
      <c r="H21" s="11">
        <f t="shared" ref="H21:H34" si="1">_xlfn.T.INV.2T(1-0.95,F21-1)</f>
        <v>2.0930240544083087</v>
      </c>
      <c r="I21" s="11">
        <f t="shared" ref="I21:I36" si="2">H21*$B$31/SQRT(F21)</f>
        <v>8.6890739572749673</v>
      </c>
      <c r="J21" s="12">
        <f t="shared" ref="J21:J36" si="3">G21*2500</f>
        <v>25000</v>
      </c>
      <c r="M21" s="11">
        <v>10</v>
      </c>
      <c r="N21" s="11">
        <f t="shared" ref="N21:N27" si="4">_xlfn.T.INV.2T(1-0.95,M21-1)</f>
        <v>2.2621571627982049</v>
      </c>
      <c r="O21" s="11">
        <f t="shared" ref="O21:O24" si="5">N21*($B$31/2)/SQRT(M21)</f>
        <v>6.6405958626084125</v>
      </c>
      <c r="P21" s="12">
        <f t="shared" ref="P21:P24" si="6">M21*2500+100000</f>
        <v>125000</v>
      </c>
    </row>
    <row r="22" spans="1:16" ht="15" x14ac:dyDescent="0.25">
      <c r="A22" s="11">
        <v>5</v>
      </c>
      <c r="B22" s="11">
        <v>411.1</v>
      </c>
      <c r="F22" s="11">
        <f t="shared" si="0"/>
        <v>25</v>
      </c>
      <c r="G22" s="11">
        <v>15</v>
      </c>
      <c r="H22" s="11">
        <f t="shared" si="1"/>
        <v>2.0638985616280254</v>
      </c>
      <c r="I22" s="11">
        <f t="shared" si="2"/>
        <v>7.6635962467398375</v>
      </c>
      <c r="J22" s="12">
        <f t="shared" si="3"/>
        <v>37500</v>
      </c>
      <c r="M22" s="11">
        <v>15</v>
      </c>
      <c r="N22" s="11">
        <f t="shared" si="4"/>
        <v>2.1447866879178035</v>
      </c>
      <c r="O22" s="11">
        <f t="shared" si="5"/>
        <v>5.1407058253175988</v>
      </c>
      <c r="P22" s="12">
        <f t="shared" si="6"/>
        <v>137500</v>
      </c>
    </row>
    <row r="23" spans="1:16" ht="15" x14ac:dyDescent="0.25">
      <c r="A23" s="11">
        <v>6</v>
      </c>
      <c r="B23" s="11">
        <v>432.9</v>
      </c>
      <c r="F23" s="11">
        <f t="shared" si="0"/>
        <v>30</v>
      </c>
      <c r="G23" s="11">
        <v>20</v>
      </c>
      <c r="H23" s="11">
        <f t="shared" si="1"/>
        <v>2.0452296421327034</v>
      </c>
      <c r="I23" s="11">
        <f t="shared" si="2"/>
        <v>6.9325933003018081</v>
      </c>
      <c r="J23" s="12">
        <f t="shared" si="3"/>
        <v>50000</v>
      </c>
      <c r="M23" s="11">
        <v>20</v>
      </c>
      <c r="N23" s="11">
        <f t="shared" si="4"/>
        <v>2.0930240544083087</v>
      </c>
      <c r="O23" s="11">
        <f t="shared" si="5"/>
        <v>4.3445369786374837</v>
      </c>
      <c r="P23" s="12">
        <f t="shared" si="6"/>
        <v>150000</v>
      </c>
    </row>
    <row r="24" spans="1:16" ht="15" x14ac:dyDescent="0.25">
      <c r="A24" s="11">
        <v>7</v>
      </c>
      <c r="B24" s="11">
        <v>398.3</v>
      </c>
      <c r="F24" s="11">
        <f t="shared" si="0"/>
        <v>35</v>
      </c>
      <c r="G24" s="11">
        <v>25</v>
      </c>
      <c r="H24" s="11">
        <f t="shared" si="1"/>
        <v>2.0322445093177191</v>
      </c>
      <c r="I24" s="11">
        <f t="shared" si="2"/>
        <v>6.3775843117189623</v>
      </c>
      <c r="J24" s="12">
        <f t="shared" si="3"/>
        <v>62500</v>
      </c>
      <c r="M24" s="11">
        <v>21</v>
      </c>
      <c r="N24" s="11">
        <f t="shared" si="4"/>
        <v>2.0859634472658648</v>
      </c>
      <c r="O24" s="11">
        <f t="shared" si="5"/>
        <v>4.2255312989288187</v>
      </c>
      <c r="P24" s="12">
        <f t="shared" si="6"/>
        <v>152500</v>
      </c>
    </row>
    <row r="25" spans="1:16" ht="15" x14ac:dyDescent="0.25">
      <c r="A25" s="11">
        <v>8</v>
      </c>
      <c r="B25" s="11">
        <v>378.9</v>
      </c>
      <c r="F25" s="11">
        <f t="shared" si="0"/>
        <v>40</v>
      </c>
      <c r="G25" s="11">
        <v>30</v>
      </c>
      <c r="H25" s="11">
        <f t="shared" si="1"/>
        <v>2.0226909200367595</v>
      </c>
      <c r="I25" s="11">
        <f t="shared" si="2"/>
        <v>5.9376391595696996</v>
      </c>
      <c r="J25" s="12">
        <f t="shared" si="3"/>
        <v>75000</v>
      </c>
      <c r="M25" s="11">
        <v>22</v>
      </c>
      <c r="N25" s="11">
        <f t="shared" si="4"/>
        <v>2.07961384472768</v>
      </c>
      <c r="O25" s="11">
        <f t="shared" ref="O25:O27" si="7">N25*($B$31/2)/SQRT(M25)</f>
        <v>4.1158130131420156</v>
      </c>
      <c r="P25" s="12">
        <f t="shared" ref="P25:P27" si="8">M25*2500+100000</f>
        <v>155000</v>
      </c>
    </row>
    <row r="26" spans="1:16" ht="15" x14ac:dyDescent="0.25">
      <c r="A26" s="11">
        <v>9</v>
      </c>
      <c r="B26" s="11">
        <v>399.1</v>
      </c>
      <c r="F26" s="11">
        <f t="shared" si="0"/>
        <v>45</v>
      </c>
      <c r="G26" s="11">
        <v>35</v>
      </c>
      <c r="H26" s="11">
        <f t="shared" si="1"/>
        <v>2.0153675744437649</v>
      </c>
      <c r="I26" s="11">
        <f t="shared" si="2"/>
        <v>5.5777915750029399</v>
      </c>
      <c r="J26" s="12">
        <f t="shared" si="3"/>
        <v>87500</v>
      </c>
      <c r="M26" s="11">
        <v>23</v>
      </c>
      <c r="N26" s="11">
        <f t="shared" si="4"/>
        <v>2.0738730679040249</v>
      </c>
      <c r="O26" s="11">
        <f t="shared" si="7"/>
        <v>4.0142325676821233</v>
      </c>
      <c r="P26" s="12">
        <f t="shared" si="8"/>
        <v>157500</v>
      </c>
    </row>
    <row r="27" spans="1:16" ht="15" x14ac:dyDescent="0.25">
      <c r="A27" s="11">
        <v>10</v>
      </c>
      <c r="B27" s="11">
        <v>420.1</v>
      </c>
      <c r="F27" s="11">
        <f t="shared" si="0"/>
        <v>50</v>
      </c>
      <c r="G27" s="11">
        <v>40</v>
      </c>
      <c r="H27" s="11">
        <f t="shared" si="1"/>
        <v>2.0095752371292388</v>
      </c>
      <c r="I27" s="11">
        <f t="shared" si="2"/>
        <v>5.2763493216312254</v>
      </c>
      <c r="J27" s="12">
        <f t="shared" si="3"/>
        <v>100000</v>
      </c>
      <c r="M27" s="14">
        <v>24</v>
      </c>
      <c r="N27" s="14">
        <f t="shared" si="4"/>
        <v>2.0686576104190477</v>
      </c>
      <c r="O27" s="14">
        <f t="shared" si="7"/>
        <v>3.9198303460794706</v>
      </c>
      <c r="P27" s="15">
        <f t="shared" si="8"/>
        <v>160000</v>
      </c>
    </row>
    <row r="28" spans="1:16" ht="15" x14ac:dyDescent="0.25">
      <c r="F28" s="11">
        <f t="shared" si="0"/>
        <v>55</v>
      </c>
      <c r="G28" s="11">
        <v>45</v>
      </c>
      <c r="H28" s="11">
        <f t="shared" si="1"/>
        <v>2.0048792881880577</v>
      </c>
      <c r="I28" s="11">
        <f t="shared" si="2"/>
        <v>5.0190457748597392</v>
      </c>
      <c r="J28" s="12">
        <f t="shared" si="3"/>
        <v>112500</v>
      </c>
      <c r="P28" s="12"/>
    </row>
    <row r="29" spans="1:16" ht="15" x14ac:dyDescent="0.25">
      <c r="A29" s="10" t="s">
        <v>37</v>
      </c>
      <c r="F29" s="11">
        <f t="shared" si="0"/>
        <v>60</v>
      </c>
      <c r="G29" s="11">
        <v>50</v>
      </c>
      <c r="H29" s="11">
        <f t="shared" si="1"/>
        <v>2.0009953780882688</v>
      </c>
      <c r="I29" s="11">
        <f t="shared" si="2"/>
        <v>4.7960613773476455</v>
      </c>
      <c r="J29" s="12">
        <f t="shared" si="3"/>
        <v>125000</v>
      </c>
      <c r="M29" s="11" t="s">
        <v>44</v>
      </c>
      <c r="P29" s="12"/>
    </row>
    <row r="30" spans="1:16" ht="15" x14ac:dyDescent="0.25">
      <c r="A30" s="10" t="s">
        <v>15</v>
      </c>
      <c r="B30" s="13">
        <f>AVERAGE(B18:B27)</f>
        <v>404.21</v>
      </c>
      <c r="F30" s="11">
        <f t="shared" si="0"/>
        <v>65</v>
      </c>
      <c r="G30" s="11">
        <v>55</v>
      </c>
      <c r="H30" s="11">
        <f t="shared" si="1"/>
        <v>1.9977296543176919</v>
      </c>
      <c r="I30" s="11">
        <f t="shared" si="2"/>
        <v>4.6003863908709395</v>
      </c>
      <c r="J30" s="12">
        <f t="shared" si="3"/>
        <v>137500</v>
      </c>
      <c r="L30" s="10"/>
      <c r="P30" s="12"/>
    </row>
    <row r="31" spans="1:16" ht="15" x14ac:dyDescent="0.25">
      <c r="A31" s="10" t="s">
        <v>16</v>
      </c>
      <c r="B31" s="13">
        <f>_xlfn.STDEV.S(B18:B27)</f>
        <v>18.565825833743276</v>
      </c>
      <c r="F31" s="11">
        <f t="shared" si="0"/>
        <v>70</v>
      </c>
      <c r="G31" s="11">
        <v>60</v>
      </c>
      <c r="H31" s="11">
        <f t="shared" si="1"/>
        <v>1.9949454151072357</v>
      </c>
      <c r="I31" s="11">
        <f t="shared" si="2"/>
        <v>4.4268649092914609</v>
      </c>
      <c r="J31" s="12">
        <f t="shared" si="3"/>
        <v>150000</v>
      </c>
      <c r="P31" s="12"/>
    </row>
    <row r="32" spans="1:16" ht="15" x14ac:dyDescent="0.25">
      <c r="A32" s="10"/>
      <c r="B32" s="13"/>
      <c r="F32" s="11">
        <f t="shared" si="0"/>
        <v>75</v>
      </c>
      <c r="G32" s="11">
        <v>65</v>
      </c>
      <c r="H32" s="11">
        <f t="shared" si="1"/>
        <v>1.992543495180934</v>
      </c>
      <c r="I32" s="11">
        <f t="shared" si="2"/>
        <v>4.2716085851559198</v>
      </c>
      <c r="J32" s="12">
        <f t="shared" si="3"/>
        <v>162500</v>
      </c>
      <c r="P32" s="12"/>
    </row>
    <row r="33" spans="1:16" ht="15" x14ac:dyDescent="0.25">
      <c r="A33" s="10" t="s">
        <v>25</v>
      </c>
      <c r="B33" s="13">
        <f>_xlfn.T.INV.2T(1-0.95,10-1)</f>
        <v>2.2621571627982049</v>
      </c>
      <c r="F33" s="11">
        <f t="shared" si="0"/>
        <v>80</v>
      </c>
      <c r="G33" s="11">
        <v>70</v>
      </c>
      <c r="H33" s="11">
        <f t="shared" si="1"/>
        <v>1.9904502102301287</v>
      </c>
      <c r="I33" s="11">
        <f t="shared" si="2"/>
        <v>4.1316221494292353</v>
      </c>
      <c r="J33" s="12">
        <f t="shared" si="3"/>
        <v>175000</v>
      </c>
      <c r="P33" s="12"/>
    </row>
    <row r="34" spans="1:16" ht="15" x14ac:dyDescent="0.25">
      <c r="A34" s="10" t="s">
        <v>20</v>
      </c>
      <c r="B34" s="13">
        <f>B33*B31/SQRT(10)</f>
        <v>13.281191725216825</v>
      </c>
      <c r="F34" s="11">
        <f t="shared" si="0"/>
        <v>85</v>
      </c>
      <c r="G34" s="11">
        <v>75</v>
      </c>
      <c r="H34" s="11">
        <f t="shared" si="1"/>
        <v>1.9886096669757098</v>
      </c>
      <c r="I34" s="11">
        <f t="shared" si="2"/>
        <v>4.004555854076334</v>
      </c>
      <c r="J34" s="12">
        <f t="shared" si="3"/>
        <v>187500</v>
      </c>
    </row>
    <row r="35" spans="1:16" ht="15" x14ac:dyDescent="0.25">
      <c r="F35" s="14">
        <f t="shared" si="0"/>
        <v>86</v>
      </c>
      <c r="G35" s="14">
        <v>76</v>
      </c>
      <c r="H35" s="14">
        <f t="shared" ref="H35:H36" si="9">_xlfn.T.INV.2T(1-0.95,F35-1)</f>
        <v>1.9882679074772203</v>
      </c>
      <c r="I35" s="14">
        <f t="shared" si="2"/>
        <v>3.9805212710629303</v>
      </c>
      <c r="J35" s="15">
        <f t="shared" si="3"/>
        <v>190000</v>
      </c>
    </row>
    <row r="36" spans="1:16" ht="15" x14ac:dyDescent="0.25">
      <c r="A36" s="11" t="s">
        <v>38</v>
      </c>
      <c r="B36" s="16">
        <f>B30-B34</f>
        <v>390.92880827478314</v>
      </c>
      <c r="F36" s="11">
        <f t="shared" si="0"/>
        <v>87</v>
      </c>
      <c r="G36" s="11">
        <v>77</v>
      </c>
      <c r="H36" s="11">
        <f t="shared" si="9"/>
        <v>1.987934206239018</v>
      </c>
      <c r="I36" s="11">
        <f t="shared" si="2"/>
        <v>3.9569143734704459</v>
      </c>
      <c r="J36" s="12">
        <f t="shared" si="3"/>
        <v>192500</v>
      </c>
    </row>
    <row r="37" spans="1:16" ht="15" x14ac:dyDescent="0.25">
      <c r="B37" s="17">
        <f>B30+B34</f>
        <v>417.49119172521682</v>
      </c>
      <c r="J37" s="12"/>
    </row>
    <row r="39" spans="1:16" x14ac:dyDescent="0.2">
      <c r="B39" s="11" t="s">
        <v>43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K25"/>
  <sheetViews>
    <sheetView workbookViewId="0">
      <selection activeCell="H13" sqref="H13"/>
    </sheetView>
  </sheetViews>
  <sheetFormatPr defaultRowHeight="15" x14ac:dyDescent="0.25"/>
  <sheetData>
    <row r="8" spans="3:5" s="8" customFormat="1" x14ac:dyDescent="0.25">
      <c r="C8" s="7" t="s">
        <v>0</v>
      </c>
      <c r="D8" s="8">
        <v>1000</v>
      </c>
      <c r="E8" s="9" t="s">
        <v>9</v>
      </c>
    </row>
    <row r="9" spans="3:5" s="8" customFormat="1" x14ac:dyDescent="0.25">
      <c r="C9" s="7" t="s">
        <v>6</v>
      </c>
      <c r="D9" s="8">
        <v>15</v>
      </c>
      <c r="E9" s="9"/>
    </row>
    <row r="10" spans="3:5" s="8" customFormat="1" x14ac:dyDescent="0.25">
      <c r="C10" s="7" t="s">
        <v>1</v>
      </c>
      <c r="D10" s="8">
        <f>D9/2</f>
        <v>7.5</v>
      </c>
      <c r="E10" s="9"/>
    </row>
    <row r="11" spans="3:5" s="8" customFormat="1" x14ac:dyDescent="0.25">
      <c r="C11" s="9" t="s">
        <v>2</v>
      </c>
      <c r="D11" s="8">
        <v>0.2</v>
      </c>
      <c r="E11" s="9" t="s">
        <v>10</v>
      </c>
    </row>
    <row r="12" spans="3:5" s="8" customFormat="1" x14ac:dyDescent="0.25">
      <c r="C12" s="7" t="s">
        <v>7</v>
      </c>
      <c r="D12" s="8">
        <v>5.0000000000000001E-4</v>
      </c>
      <c r="E12" s="9"/>
    </row>
    <row r="13" spans="3:5" s="8" customFormat="1" x14ac:dyDescent="0.25">
      <c r="C13" s="7" t="s">
        <v>3</v>
      </c>
      <c r="D13" s="8">
        <f>D12/2</f>
        <v>2.5000000000000001E-4</v>
      </c>
      <c r="E13" s="9"/>
    </row>
    <row r="14" spans="3:5" s="8" customFormat="1" x14ac:dyDescent="0.25">
      <c r="C14" s="7" t="s">
        <v>4</v>
      </c>
      <c r="D14" s="8">
        <f>0.2</f>
        <v>0.2</v>
      </c>
      <c r="E14" s="9" t="s">
        <v>10</v>
      </c>
    </row>
    <row r="15" spans="3:5" s="8" customFormat="1" x14ac:dyDescent="0.25">
      <c r="C15" s="7" t="s">
        <v>8</v>
      </c>
      <c r="D15" s="8">
        <f>0.001</f>
        <v>1E-3</v>
      </c>
      <c r="E15" s="9"/>
    </row>
    <row r="16" spans="3:5" s="8" customFormat="1" x14ac:dyDescent="0.25">
      <c r="C16" s="7" t="s">
        <v>5</v>
      </c>
      <c r="D16" s="8">
        <f>D15/2</f>
        <v>5.0000000000000001E-4</v>
      </c>
      <c r="E16" s="9"/>
    </row>
    <row r="17" spans="3:11" s="8" customFormat="1" x14ac:dyDescent="0.25">
      <c r="E17" s="9"/>
    </row>
    <row r="18" spans="3:11" s="8" customFormat="1" x14ac:dyDescent="0.25">
      <c r="C18" s="7" t="s">
        <v>10</v>
      </c>
      <c r="D18" s="8">
        <f>D8*D11^2*PI()/4*D14</f>
        <v>6.283185307179588</v>
      </c>
      <c r="E18" s="9" t="s">
        <v>11</v>
      </c>
    </row>
    <row r="22" spans="3:11" ht="17.25" x14ac:dyDescent="0.3">
      <c r="G22" s="3" t="s">
        <v>12</v>
      </c>
      <c r="H22">
        <f>D18*SQRT((D10/D8)^2+(2*D13/D11)^2+(D16/D14)^2)</f>
        <v>5.2097420380471576E-2</v>
      </c>
      <c r="I22" s="2" t="s">
        <v>11</v>
      </c>
      <c r="K22" s="18"/>
    </row>
    <row r="23" spans="3:11" x14ac:dyDescent="0.25">
      <c r="G23" s="3" t="s">
        <v>13</v>
      </c>
      <c r="H23">
        <f>H22*2</f>
        <v>0.10419484076094315</v>
      </c>
      <c r="I23" s="2" t="s">
        <v>11</v>
      </c>
    </row>
    <row r="25" spans="3:11" x14ac:dyDescent="0.25">
      <c r="G25" t="s">
        <v>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feladat</vt:lpstr>
      <vt:lpstr>2. feladat</vt:lpstr>
      <vt:lpstr>3. feladat</vt:lpstr>
      <vt:lpstr>4. feladat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tillsara</dc:creator>
  <cp:lastModifiedBy>Windows-felhasználó</cp:lastModifiedBy>
  <dcterms:created xsi:type="dcterms:W3CDTF">2011-09-16T10:56:24Z</dcterms:created>
  <dcterms:modified xsi:type="dcterms:W3CDTF">2018-01-29T11:57:10Z</dcterms:modified>
</cp:coreProperties>
</file>